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<sst xmlns="http://schemas.openxmlformats.org/spreadsheetml/2006/main" count="67" uniqueCount="67">
  <si>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Mar 13-31, 2006</t>
  </si>
  <si>
    <t>Apr - Jun, 2006</t>
  </si>
  <si>
    <t>Jul - Sep, 2006</t>
  </si>
  <si>
    <t>Oct - Dec, 2006</t>
  </si>
  <si>
    <t>Jan - Mar, 2007</t>
  </si>
  <si>
    <t>Apr - Jun, 2007</t>
  </si>
  <si>
    <t>Jul - Sep, 2007</t>
  </si>
  <si>
    <t>Oct - Dec, 2007</t>
  </si>
  <si>
    <t>Jan - Mar, 2008</t>
  </si>
  <si>
    <t>Apr - Jun, 2008</t>
  </si>
  <si>
    <t>Jul - Sep, 2008</t>
  </si>
  <si>
    <t>Oct - Dec, 2008</t>
  </si>
  <si>
    <t>Jan - Mar, 2009</t>
  </si>
  <si>
    <t>Apr - Jun, 2009</t>
  </si>
  <si>
    <t>Jul - Sep, 2009</t>
  </si>
  <si>
    <t>Oct - Dec, 2009</t>
  </si>
  <si>
    <t>Jan - Mar, 2010</t>
  </si>
  <si>
    <t>Apr - Jun, 2010</t>
  </si>
  <si>
    <t>Jul - Sep, 2010</t>
  </si>
  <si>
    <t>Oct - Dec, 2010</t>
  </si>
  <si>
    <t>Jan - Mar, 2011</t>
  </si>
  <si>
    <t>Apr - Jun, 2011</t>
  </si>
  <si>
    <t>Jul 1 - Sep 15, 2011</t>
  </si>
  <si>
    <t>Total</t>
  </si>
  <si>
    <t>Income</t>
  </si>
  <si>
    <t xml:space="preserve">   Conference Fees</t>
  </si>
  <si>
    <t xml:space="preserve">   Contributions From FOSS4G</t>
  </si>
  <si>
    <t>-14709.32</t>
  </si>
  <si>
    <t xml:space="preserve">   Donations</t>
  </si>
  <si>
    <t xml:space="preserve">   Project Funds</t>
  </si>
  <si>
    <t>-1500.00</t>
  </si>
  <si>
    <t>-125.00</t>
  </si>
  <si>
    <t>Total Income</t>
  </si>
  <si>
    <t>Gross Profit</t>
  </si>
  <si>
    <t>Expenses</t>
  </si>
  <si>
    <t xml:space="preserve">   Bank Service Charges</t>
  </si>
  <si>
    <t>-162.09</t>
  </si>
  <si>
    <t xml:space="preserve">   Conference Expense</t>
  </si>
  <si>
    <t xml:space="preserve">   Contract Labor</t>
  </si>
  <si>
    <t xml:space="preserve">   Contributions</t>
  </si>
  <si>
    <t xml:space="preserve">   Dues and Subscriptions</t>
  </si>
  <si>
    <t xml:space="preserve">   Equipment Rental</t>
  </si>
  <si>
    <t xml:space="preserve">   Incorporation costs</t>
  </si>
  <si>
    <t xml:space="preserve">   Insurance</t>
  </si>
  <si>
    <t>-11.00</t>
  </si>
  <si>
    <t xml:space="preserve">   Office Supplies</t>
  </si>
  <si>
    <t xml:space="preserve">   Payroll &amp; Benefits</t>
  </si>
  <si>
    <t xml:space="preserve">   Postage and Delivery</t>
  </si>
  <si>
    <t xml:space="preserve">   Printing and Reproduction</t>
  </si>
  <si>
    <t xml:space="preserve">   Professional Fees</t>
  </si>
  <si>
    <t xml:space="preserve">   Project Disbursements</t>
  </si>
  <si>
    <t xml:space="preserve">   Promotion &amp; Visibility</t>
  </si>
  <si>
    <t xml:space="preserve">   Supplies</t>
  </si>
  <si>
    <t xml:space="preserve">   Systems</t>
  </si>
  <si>
    <t xml:space="preserve">   Travel &amp; Ent</t>
  </si>
  <si>
    <t>-883.25</t>
  </si>
  <si>
    <t>-260.19</t>
  </si>
  <si>
    <t xml:space="preserve">   Uncollectable Debt</t>
  </si>
  <si>
    <t xml:space="preserve">   WF CASH ACCOUNT CREDIT OFFSET</t>
  </si>
  <si>
    <t>-198.00</t>
  </si>
  <si>
    <t>Total Expenses</t>
  </si>
  <si>
    <t>Net Operating Income</t>
  </si>
  <si>
    <t>Net Income</t>
  </si>
  <si>
    <t>Saturday, Sep 17, 2011 11:12:15 PM GMT-7 - Cash Basis</t>
  </si>
  <si>
    <t>OSGeo</t>
  </si>
  <si>
    <t>Profit &amp; Loss</t>
  </si>
  <si>
    <t>All Dates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</si>
</sst>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$* #,##0.00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3" fillId="0" borderId="0" xfId="0" applyFont="1" applyAlignment="1">
      <alignment wrapText="1"/>
    </xf>
    <xf numFmtId="4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3" width="16.00390625" style="0" customWidth="1"/>
    <col min="24" max="24" width="21.00390625" style="0" customWidth="1"/>
  </cols>
  <sheetData>
    <row r="1" ht="12.75">
      <c r="A1" s="9" t="s">
        <v>64</v>
      </c>
    </row>
    <row r="2" ht="12.75">
      <c r="A2" s="9" t="s">
        <v>65</v>
      </c>
    </row>
    <row r="3" ht="12.75">
      <c r="A3" s="10" t="s">
        <v>66</v>
      </c>
    </row>
    <row r="4" ht="12.75"/>
    <row r="5" spans="1:25" ht="12.75" customHeight="1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</row>
    <row r="6" spans="1:25" ht="12.75" customHeight="1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 customHeight="1">
      <c r="A7" s="3" t="s">
        <v>25</v>
      </c>
      <c r="B7" s="4"/>
      <c r="C7" s="4"/>
      <c r="D7" s="4"/>
      <c r="E7" s="4"/>
      <c r="F7" s="4"/>
      <c r="G7" s="4"/>
      <c r="H7" s="4"/>
      <c r="I7" s="5">
        <f>437385.43</f>
        <v>437385.43</v>
      </c>
      <c r="J7" s="4"/>
      <c r="K7" s="4"/>
      <c r="L7" s="4"/>
      <c r="M7" s="5">
        <f>334638.32</f>
        <v>334638.32</v>
      </c>
      <c r="N7" s="4"/>
      <c r="O7" s="4"/>
      <c r="P7" s="4"/>
      <c r="Q7" s="4"/>
      <c r="R7" s="4"/>
      <c r="S7" s="5">
        <f>9135.59</f>
        <v>9135.59</v>
      </c>
      <c r="T7" s="4"/>
      <c r="U7" s="4"/>
      <c r="V7" s="4"/>
      <c r="W7" s="4"/>
      <c r="X7" s="4"/>
      <c r="Y7" s="5">
        <f>((((((((((((((((((((((B7)+(C7))+(D7))+(E7))+(F7))+(G7))+(H7))+(I7))+(J7))+(K7))+(L7))+(M7))+(N7))+(O7))+(P7))+(Q7))+(R7))+(S7))+(T7))+(U7))+(V7))+(W7))+(X7)</f>
        <v>781159.34</v>
      </c>
    </row>
    <row r="8" spans="1:25" ht="12.75" customHeight="1">
      <c r="A8" s="3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27</v>
      </c>
      <c r="N8" s="4"/>
      <c r="O8" s="4"/>
      <c r="P8" s="4"/>
      <c r="Q8" s="5">
        <f>45257.9</f>
        <v>45257.9</v>
      </c>
      <c r="R8" s="4"/>
      <c r="S8" s="5">
        <f>30898.27</f>
        <v>30898.27</v>
      </c>
      <c r="T8" s="4"/>
      <c r="U8" s="4"/>
      <c r="V8" s="5">
        <f>40888.4</f>
        <v>40888.4</v>
      </c>
      <c r="W8" s="4"/>
      <c r="X8" s="4"/>
      <c r="Y8" s="5">
        <f>((((((((((((((((((((((B8)+(C8))+(D8))+(E8))+(F8))+(G8))+(H8))+(I8))+(J8))+(K8))+(L8))+(M8))+(N8))+(O8))+(P8))+(Q8))+(R8))+(S8))+(T8))+(U8))+(V8))+(W8))+(X8)</f>
        <v>102335.25</v>
      </c>
    </row>
    <row r="9" spans="1:25" ht="12.75" customHeight="1">
      <c r="A9" s="3" t="s">
        <v>28</v>
      </c>
      <c r="B9" s="5">
        <f>100</f>
        <v>100</v>
      </c>
      <c r="C9" s="4"/>
      <c r="D9" s="5">
        <f>1336.25</f>
        <v>1336.25</v>
      </c>
      <c r="E9" s="5">
        <f>57500</f>
        <v>57500</v>
      </c>
      <c r="F9" s="5">
        <f>6750</f>
        <v>6750</v>
      </c>
      <c r="G9" s="5">
        <f>71987.97</f>
        <v>71987.97</v>
      </c>
      <c r="H9" s="5">
        <f>10215</f>
        <v>10215</v>
      </c>
      <c r="I9" s="5">
        <f>44596</f>
        <v>44596</v>
      </c>
      <c r="J9" s="5">
        <f>44050</f>
        <v>44050</v>
      </c>
      <c r="K9" s="5">
        <f>31113.25</f>
        <v>31113.25</v>
      </c>
      <c r="L9" s="5">
        <f>44975</f>
        <v>44975</v>
      </c>
      <c r="M9" s="5">
        <f>54990</f>
        <v>54990</v>
      </c>
      <c r="N9" s="5">
        <f>35010</f>
        <v>35010</v>
      </c>
      <c r="O9" s="5">
        <f>59876</f>
        <v>59876</v>
      </c>
      <c r="P9" s="5">
        <f>6020</f>
        <v>6020</v>
      </c>
      <c r="Q9" s="5">
        <f>25970</f>
        <v>25970</v>
      </c>
      <c r="R9" s="5">
        <f>32018</f>
        <v>32018</v>
      </c>
      <c r="S9" s="5">
        <f>3010</f>
        <v>3010</v>
      </c>
      <c r="T9" s="4"/>
      <c r="U9" s="5">
        <f>14519.72</f>
        <v>14519.72</v>
      </c>
      <c r="V9" s="5">
        <f>1027.94</f>
        <v>1027.94</v>
      </c>
      <c r="W9" s="5">
        <f>14945</f>
        <v>14945</v>
      </c>
      <c r="X9" s="5">
        <f>6250.66</f>
        <v>6250.66</v>
      </c>
      <c r="Y9" s="5">
        <f>((((((((((((((((((((((B9)+(C9))+(D9))+(E9))+(F9))+(G9))+(H9))+(I9))+(J9))+(K9))+(L9))+(M9))+(N9))+(O9))+(P9))+(Q9))+(R9))+(S9))+(T9))+(U9))+(V9))+(W9))+(X9)</f>
        <v>566260.7899999999</v>
      </c>
    </row>
    <row r="10" spans="1:25" ht="12.75" customHeight="1">
      <c r="A10" s="3" t="s">
        <v>29</v>
      </c>
      <c r="B10" s="4"/>
      <c r="C10" s="4"/>
      <c r="D10" s="4"/>
      <c r="E10" s="5" t="s">
        <v>30</v>
      </c>
      <c r="F10" s="5">
        <f>11250</f>
        <v>11250</v>
      </c>
      <c r="G10" s="5">
        <f>5771.62</f>
        <v>5771.62</v>
      </c>
      <c r="H10" s="5" t="s">
        <v>31</v>
      </c>
      <c r="I10" s="5">
        <f>11000</f>
        <v>11000</v>
      </c>
      <c r="J10" s="4"/>
      <c r="K10" s="5">
        <f>5875</f>
        <v>5875</v>
      </c>
      <c r="L10" s="5">
        <f>5000</f>
        <v>5000</v>
      </c>
      <c r="M10" s="4"/>
      <c r="N10" s="5">
        <f>3000</f>
        <v>3000</v>
      </c>
      <c r="O10" s="5">
        <f>5500</f>
        <v>5500</v>
      </c>
      <c r="P10" s="4"/>
      <c r="Q10" s="5">
        <f>600</f>
        <v>600</v>
      </c>
      <c r="R10" s="5">
        <f>11055.98</f>
        <v>11055.98</v>
      </c>
      <c r="S10" s="4"/>
      <c r="T10" s="4"/>
      <c r="U10" s="5">
        <f>360.15</f>
        <v>360.15</v>
      </c>
      <c r="V10" s="4"/>
      <c r="W10" s="4"/>
      <c r="X10" s="5">
        <f>750</f>
        <v>750</v>
      </c>
      <c r="Y10" s="5">
        <f>((((((((((((((((((((((B10)+(C10))+(D10))+(E10))+(F10))+(G10))+(H10))+(I10))+(J10))+(K10))+(L10))+(M10))+(N10))+(O10))+(P10))+(Q10))+(R10))+(S10))+(T10))+(U10))+(V10))+(W10))+(X10)</f>
        <v>58537.74999999999</v>
      </c>
    </row>
    <row r="11" spans="1:25" ht="25.5" customHeight="1">
      <c r="A11" s="3" t="s">
        <v>32</v>
      </c>
      <c r="B11" s="6">
        <f>(((B7)+(B8))+(B9))+(B10)</f>
        <v>100</v>
      </c>
      <c r="C11" s="6">
        <f>(((C7)+(C8))+(C9))+(C10)</f>
        <v>0</v>
      </c>
      <c r="D11" s="6">
        <f>(((D7)+(D8))+(D9))+(D10)</f>
        <v>1336.25</v>
      </c>
      <c r="E11" s="6">
        <f>(((E7)+(E8))+(E9))+(E10)</f>
        <v>56000</v>
      </c>
      <c r="F11" s="6">
        <f>(((F7)+(F8))+(F9))+(F10)</f>
        <v>18000</v>
      </c>
      <c r="G11" s="6">
        <f>(((G7)+(G8))+(G9))+(G10)</f>
        <v>77759.59</v>
      </c>
      <c r="H11" s="6">
        <f>(((H7)+(H8))+(H9))+(H10)</f>
        <v>10090</v>
      </c>
      <c r="I11" s="6">
        <f>(((I7)+(I8))+(I9))+(I10)</f>
        <v>492981.43</v>
      </c>
      <c r="J11" s="6">
        <f>(((J7)+(J8))+(J9))+(J10)</f>
        <v>44050</v>
      </c>
      <c r="K11" s="6">
        <f>(((K7)+(K8))+(K9))+(K10)</f>
        <v>36988.25</v>
      </c>
      <c r="L11" s="6">
        <f>(((L7)+(L8))+(L9))+(L10)</f>
        <v>49975</v>
      </c>
      <c r="M11" s="6">
        <f>(((M7)+(M8))+(M9))+(M10)</f>
        <v>374919</v>
      </c>
      <c r="N11" s="6">
        <f>(((N7)+(N8))+(N9))+(N10)</f>
        <v>38010</v>
      </c>
      <c r="O11" s="6">
        <f>(((O7)+(O8))+(O9))+(O10)</f>
        <v>65376</v>
      </c>
      <c r="P11" s="6">
        <f>(((P7)+(P8))+(P9))+(P10)</f>
        <v>6020</v>
      </c>
      <c r="Q11" s="6">
        <f>(((Q7)+(Q8))+(Q9))+(Q10)</f>
        <v>71827.9</v>
      </c>
      <c r="R11" s="6">
        <f>(((R7)+(R8))+(R9))+(R10)</f>
        <v>43073.979999999996</v>
      </c>
      <c r="S11" s="6">
        <f>(((S7)+(S8))+(S9))+(S10)</f>
        <v>43043.86</v>
      </c>
      <c r="T11" s="6">
        <f>(((T7)+(T8))+(T9))+(T10)</f>
        <v>0</v>
      </c>
      <c r="U11" s="6">
        <f>(((U7)+(U8))+(U9))+(U10)</f>
        <v>14879.869999999999</v>
      </c>
      <c r="V11" s="6">
        <f>(((V7)+(V8))+(V9))+(V10)</f>
        <v>41916.340000000004</v>
      </c>
      <c r="W11" s="6">
        <f>(((W7)+(W8))+(W9))+(W10)</f>
        <v>14945</v>
      </c>
      <c r="X11" s="6">
        <f>(((X7)+(X8))+(X9))+(X10)</f>
        <v>7000.66</v>
      </c>
      <c r="Y11" s="6">
        <f>((((((((((((((((((((((B11)+(C11))+(D11))+(E11))+(F11))+(G11))+(H11))+(I11))+(J11))+(K11))+(L11))+(M11))+(N11))+(O11))+(P11))+(Q11))+(R11))+(S11))+(T11))+(U11))+(V11))+(W11))+(X11)</f>
        <v>1508293.1300000001</v>
      </c>
    </row>
    <row r="12" spans="1:25" ht="25.5" customHeight="1">
      <c r="A12" s="3" t="s">
        <v>33</v>
      </c>
      <c r="B12" s="6">
        <f>(B11)-(0)</f>
        <v>100</v>
      </c>
      <c r="C12" s="6">
        <f>(C11)-(0)</f>
        <v>0</v>
      </c>
      <c r="D12" s="6">
        <f>(D11)-(0)</f>
        <v>1336.25</v>
      </c>
      <c r="E12" s="6">
        <f>(E11)-(0)</f>
        <v>56000</v>
      </c>
      <c r="F12" s="6">
        <f>(F11)-(0)</f>
        <v>18000</v>
      </c>
      <c r="G12" s="6">
        <f>(G11)-(0)</f>
        <v>77759.59</v>
      </c>
      <c r="H12" s="6">
        <f>(H11)-(0)</f>
        <v>10090</v>
      </c>
      <c r="I12" s="6">
        <f>(I11)-(0)</f>
        <v>492981.43</v>
      </c>
      <c r="J12" s="6">
        <f>(J11)-(0)</f>
        <v>44050</v>
      </c>
      <c r="K12" s="6">
        <f>(K11)-(0)</f>
        <v>36988.25</v>
      </c>
      <c r="L12" s="6">
        <f>(L11)-(0)</f>
        <v>49975</v>
      </c>
      <c r="M12" s="6">
        <f>(M11)-(0)</f>
        <v>374919</v>
      </c>
      <c r="N12" s="6">
        <f>(N11)-(0)</f>
        <v>38010</v>
      </c>
      <c r="O12" s="6">
        <f>(O11)-(0)</f>
        <v>65376</v>
      </c>
      <c r="P12" s="6">
        <f>(P11)-(0)</f>
        <v>6020</v>
      </c>
      <c r="Q12" s="6">
        <f>(Q11)-(0)</f>
        <v>71827.9</v>
      </c>
      <c r="R12" s="6">
        <f>(R11)-(0)</f>
        <v>43073.979999999996</v>
      </c>
      <c r="S12" s="6">
        <f>(S11)-(0)</f>
        <v>43043.86</v>
      </c>
      <c r="T12" s="6">
        <f>(T11)-(0)</f>
        <v>0</v>
      </c>
      <c r="U12" s="6">
        <f>(U11)-(0)</f>
        <v>14879.869999999999</v>
      </c>
      <c r="V12" s="6">
        <f>(V11)-(0)</f>
        <v>41916.340000000004</v>
      </c>
      <c r="W12" s="6">
        <f>(W11)-(0)</f>
        <v>14945</v>
      </c>
      <c r="X12" s="6">
        <f>(X11)-(0)</f>
        <v>7000.66</v>
      </c>
      <c r="Y12" s="6">
        <f>((((((((((((((((((((((B12)+(C12))+(D12))+(E12))+(F12))+(G12))+(H12))+(I12))+(J12))+(K12))+(L12))+(M12))+(N12))+(O12))+(P12))+(Q12))+(R12))+(S12))+(T12))+(U12))+(V12))+(W12))+(X12)</f>
        <v>1508293.1300000001</v>
      </c>
    </row>
    <row r="13" spans="1:25" ht="12.75" customHeight="1">
      <c r="A13" s="3" t="s">
        <v>34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customHeight="1">
      <c r="A14" s="3" t="s">
        <v>35</v>
      </c>
      <c r="B14" s="5">
        <f>36.2</f>
        <v>36.2</v>
      </c>
      <c r="C14" s="5">
        <f>11</f>
        <v>11</v>
      </c>
      <c r="D14" s="5">
        <f>16.34</f>
        <v>16.34</v>
      </c>
      <c r="E14" s="5">
        <f>65.41</f>
        <v>65.41</v>
      </c>
      <c r="F14" s="5">
        <f>25.53</f>
        <v>25.53</v>
      </c>
      <c r="G14" s="5">
        <f>178.54</f>
        <v>178.54</v>
      </c>
      <c r="H14" s="5">
        <f>85.91</f>
        <v>85.91</v>
      </c>
      <c r="I14" s="5">
        <f>66.13</f>
        <v>66.13</v>
      </c>
      <c r="J14" s="5">
        <f>209.29</f>
        <v>209.29</v>
      </c>
      <c r="K14" s="5">
        <f>759.99</f>
        <v>759.99</v>
      </c>
      <c r="L14" s="5">
        <f>279.92</f>
        <v>279.92</v>
      </c>
      <c r="M14" s="5">
        <f>68.37</f>
        <v>68.37</v>
      </c>
      <c r="N14" s="5">
        <f>90.45</f>
        <v>90.45</v>
      </c>
      <c r="O14" s="5">
        <f>85.2</f>
        <v>85.2</v>
      </c>
      <c r="P14" s="5">
        <f>350.89</f>
        <v>350.89</v>
      </c>
      <c r="Q14" s="5">
        <f>60.85</f>
        <v>60.85</v>
      </c>
      <c r="R14" s="5" t="s">
        <v>36</v>
      </c>
      <c r="S14" s="5">
        <f>175.85</f>
        <v>175.85</v>
      </c>
      <c r="T14" s="5">
        <f>32.75</f>
        <v>32.75</v>
      </c>
      <c r="U14" s="5">
        <f>109.81</f>
        <v>109.81</v>
      </c>
      <c r="V14" s="5">
        <f>55.12</f>
        <v>55.12</v>
      </c>
      <c r="W14" s="5">
        <f>344.57</f>
        <v>344.57</v>
      </c>
      <c r="X14" s="5">
        <f>14.95</f>
        <v>14.95</v>
      </c>
      <c r="Y14" s="5">
        <f>((((((((((((((((((((((B14)+(C14))+(D14))+(E14))+(F14))+(G14))+(H14))+(I14))+(J14))+(K14))+(L14))+(M14))+(N14))+(O14))+(P14))+(Q14))+(R14))+(S14))+(T14))+(U14))+(V14))+(W14))+(X14)</f>
        <v>2960.9799999999996</v>
      </c>
    </row>
    <row r="15" spans="1:25" ht="12.75" customHeight="1">
      <c r="A15" s="3" t="s">
        <v>37</v>
      </c>
      <c r="B15" s="4"/>
      <c r="C15" s="4"/>
      <c r="D15" s="4"/>
      <c r="E15" s="4"/>
      <c r="F15" s="4"/>
      <c r="G15" s="4"/>
      <c r="H15" s="4"/>
      <c r="I15" s="5">
        <f>331963.47</f>
        <v>331963.47</v>
      </c>
      <c r="J15" s="4"/>
      <c r="K15" s="5">
        <f>343.54</f>
        <v>343.54</v>
      </c>
      <c r="L15" s="4"/>
      <c r="M15" s="5">
        <f>319929</f>
        <v>319929</v>
      </c>
      <c r="N15" s="4"/>
      <c r="O15" s="4"/>
      <c r="P15" s="4"/>
      <c r="Q15" s="4"/>
      <c r="R15" s="4"/>
      <c r="S15" s="4"/>
      <c r="T15" s="4"/>
      <c r="U15" s="5">
        <f>10000</f>
        <v>10000</v>
      </c>
      <c r="V15" s="4"/>
      <c r="W15" s="4"/>
      <c r="X15" s="4"/>
      <c r="Y15" s="5">
        <f>((((((((((((((((((((((B15)+(C15))+(D15))+(E15))+(F15))+(G15))+(H15))+(I15))+(J15))+(K15))+(L15))+(M15))+(N15))+(O15))+(P15))+(Q15))+(R15))+(S15))+(T15))+(U15))+(V15))+(W15))+(X15)</f>
        <v>662236.01</v>
      </c>
    </row>
    <row r="16" spans="1:25" ht="12.75" customHeight="1">
      <c r="A16" s="3" t="s">
        <v>38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>1800</f>
        <v>1800</v>
      </c>
      <c r="U16" s="4"/>
      <c r="V16" s="4"/>
      <c r="W16" s="4"/>
      <c r="X16" s="4"/>
      <c r="Y16" s="5">
        <f>((((((((((((((((((((((B16)+(C16))+(D16))+(E16))+(F16))+(G16))+(H16))+(I16))+(J16))+(K16))+(L16))+(M16))+(N16))+(O16))+(P16))+(Q16))+(R16))+(S16))+(T16))+(U16))+(V16))+(W16))+(X16)</f>
        <v>1800</v>
      </c>
    </row>
    <row r="17" spans="1:25" ht="12.75" customHeight="1">
      <c r="A17" s="3" t="s">
        <v>39</v>
      </c>
      <c r="B17" s="4"/>
      <c r="C17" s="4"/>
      <c r="D17" s="4"/>
      <c r="E17" s="5">
        <f>1000</f>
        <v>1000</v>
      </c>
      <c r="F17" s="4"/>
      <c r="G17" s="4"/>
      <c r="H17" s="4"/>
      <c r="I17" s="4"/>
      <c r="J17" s="5">
        <f>2000</f>
        <v>2000</v>
      </c>
      <c r="K17" s="4"/>
      <c r="L17" s="4"/>
      <c r="M17" s="5">
        <f>120</f>
        <v>120</v>
      </c>
      <c r="N17" s="5">
        <f>450</f>
        <v>450</v>
      </c>
      <c r="O17" s="4"/>
      <c r="P17" s="4"/>
      <c r="Q17" s="4"/>
      <c r="R17" s="4"/>
      <c r="S17" s="4"/>
      <c r="T17" s="4"/>
      <c r="U17" s="4"/>
      <c r="V17" s="4"/>
      <c r="W17" s="5">
        <f>1693.67</f>
        <v>1693.67</v>
      </c>
      <c r="X17" s="4"/>
      <c r="Y17" s="5">
        <f>((((((((((((((((((((((B17)+(C17))+(D17))+(E17))+(F17))+(G17))+(H17))+(I17))+(J17))+(K17))+(L17))+(M17))+(N17))+(O17))+(P17))+(Q17))+(R17))+(S17))+(T17))+(U17))+(V17))+(W17))+(X17)</f>
        <v>5263.67</v>
      </c>
    </row>
    <row r="18" spans="1:25" ht="12.75" customHeight="1">
      <c r="A18" s="3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>37</f>
        <v>37</v>
      </c>
      <c r="S18" s="4"/>
      <c r="T18" s="4"/>
      <c r="U18" s="4"/>
      <c r="V18" s="4"/>
      <c r="W18" s="4"/>
      <c r="X18" s="4"/>
      <c r="Y18" s="5">
        <f>((((((((((((((((((((((B18)+(C18))+(D18))+(E18))+(F18))+(G18))+(H18))+(I18))+(J18))+(K18))+(L18))+(M18))+(N18))+(O18))+(P18))+(Q18))+(R18))+(S18))+(T18))+(U18))+(V18))+(W18))+(X18)</f>
        <v>37</v>
      </c>
    </row>
    <row r="19" spans="1:25" ht="12.75" customHeight="1">
      <c r="A19" s="3" t="s">
        <v>41</v>
      </c>
      <c r="B19" s="4"/>
      <c r="C19" s="4"/>
      <c r="D19" s="4"/>
      <c r="E19" s="4"/>
      <c r="F19" s="4"/>
      <c r="G19" s="4"/>
      <c r="H19" s="4"/>
      <c r="I19" s="5">
        <f>147.98</f>
        <v>147.98</v>
      </c>
      <c r="J19" s="4"/>
      <c r="K19" s="4"/>
      <c r="L19" s="4"/>
      <c r="M19" s="4"/>
      <c r="N19" s="4"/>
      <c r="O19" s="4"/>
      <c r="P19" s="4"/>
      <c r="Q19" s="5">
        <f>827.26</f>
        <v>827.26</v>
      </c>
      <c r="R19" s="4"/>
      <c r="S19" s="4"/>
      <c r="T19" s="4"/>
      <c r="U19" s="4"/>
      <c r="V19" s="4"/>
      <c r="W19" s="4"/>
      <c r="X19" s="4"/>
      <c r="Y19" s="5">
        <f>((((((((((((((((((((((B19)+(C19))+(D19))+(E19))+(F19))+(G19))+(H19))+(I19))+(J19))+(K19))+(L19))+(M19))+(N19))+(O19))+(P19))+(Q19))+(R19))+(S19))+(T19))+(U19))+(V19))+(W19))+(X19)</f>
        <v>975.24</v>
      </c>
    </row>
    <row r="20" spans="1:25" ht="12.75" customHeight="1">
      <c r="A20" s="3" t="s">
        <v>42</v>
      </c>
      <c r="B20" s="4"/>
      <c r="C20" s="4"/>
      <c r="D20" s="4"/>
      <c r="E20" s="4"/>
      <c r="F20" s="5">
        <f>25</f>
        <v>25</v>
      </c>
      <c r="G20" s="4"/>
      <c r="H20" s="4"/>
      <c r="I20" s="5">
        <f>249</f>
        <v>249</v>
      </c>
      <c r="J20" s="4"/>
      <c r="K20" s="5">
        <f>148</f>
        <v>148</v>
      </c>
      <c r="L20" s="5">
        <f>50.96</f>
        <v>50.96</v>
      </c>
      <c r="M20" s="5">
        <f>848</f>
        <v>848</v>
      </c>
      <c r="N20" s="5">
        <f>1012.89</f>
        <v>1012.89</v>
      </c>
      <c r="O20" s="4"/>
      <c r="P20" s="4"/>
      <c r="Q20" s="5">
        <f>270</f>
        <v>270</v>
      </c>
      <c r="R20" s="5">
        <f>168.99</f>
        <v>168.99</v>
      </c>
      <c r="S20" s="4"/>
      <c r="T20" s="4"/>
      <c r="U20" s="5">
        <f>278</f>
        <v>278</v>
      </c>
      <c r="V20" s="5">
        <f>25</f>
        <v>25</v>
      </c>
      <c r="W20" s="4"/>
      <c r="X20" s="4"/>
      <c r="Y20" s="5">
        <f>((((((((((((((((((((((B20)+(C20))+(D20))+(E20))+(F20))+(G20))+(H20))+(I20))+(J20))+(K20))+(L20))+(M20))+(N20))+(O20))+(P20))+(Q20))+(R20))+(S20))+(T20))+(U20))+(V20))+(W20))+(X20)</f>
        <v>3075.84</v>
      </c>
    </row>
    <row r="21" spans="1:25" ht="12.75" customHeight="1">
      <c r="A21" s="3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>617.69</f>
        <v>617.69</v>
      </c>
      <c r="R21" s="4"/>
      <c r="S21" s="5">
        <f>4720.82</f>
        <v>4720.82</v>
      </c>
      <c r="T21" s="5">
        <f>68.29</f>
        <v>68.29</v>
      </c>
      <c r="U21" s="4"/>
      <c r="V21" s="5">
        <f>421.09</f>
        <v>421.09</v>
      </c>
      <c r="W21" s="5">
        <f>4412</f>
        <v>4412</v>
      </c>
      <c r="X21" s="5" t="s">
        <v>44</v>
      </c>
      <c r="Y21" s="5">
        <f>((((((((((((((((((((((B21)+(C21))+(D21))+(E21))+(F21))+(G21))+(H21))+(I21))+(J21))+(K21))+(L21))+(M21))+(N21))+(O21))+(P21))+(Q21))+(R21))+(S21))+(T21))+(U21))+(V21))+(W21))+(X21)</f>
        <v>10228.89</v>
      </c>
    </row>
    <row r="22" spans="1:25" ht="12.75" customHeight="1">
      <c r="A22" s="3" t="s">
        <v>45</v>
      </c>
      <c r="B22" s="4"/>
      <c r="C22" s="4"/>
      <c r="D22" s="4"/>
      <c r="E22" s="5">
        <f>351.57</f>
        <v>351.57</v>
      </c>
      <c r="F22" s="5">
        <f>714.87</f>
        <v>714.87</v>
      </c>
      <c r="G22" s="5">
        <f>1650.76</f>
        <v>1650.76</v>
      </c>
      <c r="H22" s="5">
        <f>945.7</f>
        <v>945.7</v>
      </c>
      <c r="I22" s="5">
        <f>1547.66</f>
        <v>1547.66</v>
      </c>
      <c r="J22" s="5">
        <f>740.99</f>
        <v>740.99</v>
      </c>
      <c r="K22" s="5">
        <f>1241.45</f>
        <v>1241.45</v>
      </c>
      <c r="L22" s="5">
        <f>963.78</f>
        <v>963.78</v>
      </c>
      <c r="M22" s="5">
        <f>1135.33</f>
        <v>1135.33</v>
      </c>
      <c r="N22" s="5">
        <f>1052.1</f>
        <v>1052.1</v>
      </c>
      <c r="O22" s="5">
        <f>334.95</f>
        <v>334.95</v>
      </c>
      <c r="P22" s="5">
        <f>758.33</f>
        <v>758.33</v>
      </c>
      <c r="Q22" s="5">
        <f>1135.18</f>
        <v>1135.18</v>
      </c>
      <c r="R22" s="5">
        <f>560.39</f>
        <v>560.39</v>
      </c>
      <c r="S22" s="5">
        <f>2280.39</f>
        <v>2280.39</v>
      </c>
      <c r="T22" s="5">
        <f>2397.14</f>
        <v>2397.14</v>
      </c>
      <c r="U22" s="5">
        <f>1506.39</f>
        <v>1506.39</v>
      </c>
      <c r="V22" s="5">
        <f>1022.62</f>
        <v>1022.62</v>
      </c>
      <c r="W22" s="5">
        <f>1529.3</f>
        <v>1529.3</v>
      </c>
      <c r="X22" s="5">
        <f>863.59</f>
        <v>863.59</v>
      </c>
      <c r="Y22" s="5">
        <f>((((((((((((((((((((((B22)+(C22))+(D22))+(E22))+(F22))+(G22))+(H22))+(I22))+(J22))+(K22))+(L22))+(M22))+(N22))+(O22))+(P22))+(Q22))+(R22))+(S22))+(T22))+(U22))+(V22))+(W22))+(X22)</f>
        <v>22732.489999999998</v>
      </c>
    </row>
    <row r="23" spans="1:25" ht="12.75" customHeight="1">
      <c r="A23" s="3" t="s">
        <v>46</v>
      </c>
      <c r="B23" s="4"/>
      <c r="C23" s="4"/>
      <c r="D23" s="4"/>
      <c r="E23" s="5">
        <f>13809.98</f>
        <v>13809.98</v>
      </c>
      <c r="F23" s="5">
        <f>23703.49</f>
        <v>23703.49</v>
      </c>
      <c r="G23" s="5">
        <f>24369.89</f>
        <v>24369.89</v>
      </c>
      <c r="H23" s="5">
        <f>25633.99</f>
        <v>25633.99</v>
      </c>
      <c r="I23" s="5">
        <f>26071.17</f>
        <v>26071.17</v>
      </c>
      <c r="J23" s="5">
        <f>28236.92</f>
        <v>28236.92</v>
      </c>
      <c r="K23" s="5">
        <f>28536.79</f>
        <v>28536.79</v>
      </c>
      <c r="L23" s="5">
        <f>27637.74</f>
        <v>27637.74</v>
      </c>
      <c r="M23" s="5">
        <f>21311.57</f>
        <v>21311.57</v>
      </c>
      <c r="N23" s="5">
        <f>22649.93</f>
        <v>22649.93</v>
      </c>
      <c r="O23" s="5">
        <f>20010.36</f>
        <v>20010.36</v>
      </c>
      <c r="P23" s="5">
        <f>29358.37</f>
        <v>29358.37</v>
      </c>
      <c r="Q23" s="5">
        <f>25134.63</f>
        <v>25134.63</v>
      </c>
      <c r="R23" s="5">
        <f>27871.04</f>
        <v>27871.04</v>
      </c>
      <c r="S23" s="5">
        <f>27402.57</f>
        <v>27402.57</v>
      </c>
      <c r="T23" s="5">
        <f>27480.99</f>
        <v>27480.99</v>
      </c>
      <c r="U23" s="5">
        <f>25857.73</f>
        <v>25857.73</v>
      </c>
      <c r="V23" s="5">
        <f>27554.28</f>
        <v>27554.28</v>
      </c>
      <c r="W23" s="5">
        <f>27351.66</f>
        <v>27351.66</v>
      </c>
      <c r="X23" s="5">
        <f>18260.96</f>
        <v>18260.96</v>
      </c>
      <c r="Y23" s="5">
        <f>((((((((((((((((((((((B23)+(C23))+(D23))+(E23))+(F23))+(G23))+(H23))+(I23))+(J23))+(K23))+(L23))+(M23))+(N23))+(O23))+(P23))+(Q23))+(R23))+(S23))+(T23))+(U23))+(V23))+(W23))+(X23)</f>
        <v>498244.05999999994</v>
      </c>
    </row>
    <row r="24" spans="1:25" ht="12.75" customHeight="1">
      <c r="A24" s="3" t="s">
        <v>47</v>
      </c>
      <c r="B24" s="4"/>
      <c r="C24" s="4"/>
      <c r="D24" s="4"/>
      <c r="E24" s="4"/>
      <c r="F24" s="4"/>
      <c r="G24" s="5">
        <f>420.94</f>
        <v>420.94</v>
      </c>
      <c r="H24" s="5">
        <f>25.27</f>
        <v>25.27</v>
      </c>
      <c r="I24" s="4"/>
      <c r="J24" s="4"/>
      <c r="K24" s="4"/>
      <c r="L24" s="4"/>
      <c r="M24" s="4"/>
      <c r="N24" s="4"/>
      <c r="O24" s="5">
        <f>37.03</f>
        <v>37.03</v>
      </c>
      <c r="P24" s="4"/>
      <c r="Q24" s="5">
        <f>146.64</f>
        <v>146.64</v>
      </c>
      <c r="R24" s="4"/>
      <c r="S24" s="4"/>
      <c r="T24" s="5">
        <f>26.6</f>
        <v>26.6</v>
      </c>
      <c r="U24" s="4"/>
      <c r="V24" s="4"/>
      <c r="W24" s="4"/>
      <c r="X24" s="4"/>
      <c r="Y24" s="5">
        <f>((((((((((((((((((((((B24)+(C24))+(D24))+(E24))+(F24))+(G24))+(H24))+(I24))+(J24))+(K24))+(L24))+(M24))+(N24))+(O24))+(P24))+(Q24))+(R24))+(S24))+(T24))+(U24))+(V24))+(W24))+(X24)</f>
        <v>656.48</v>
      </c>
    </row>
    <row r="25" spans="1:25" ht="12.75" customHeight="1">
      <c r="A25" s="3" t="s">
        <v>48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>
        <f>8.06</f>
        <v>8.06</v>
      </c>
      <c r="V25" s="4"/>
      <c r="W25" s="4"/>
      <c r="X25" s="4"/>
      <c r="Y25" s="5">
        <f>((((((((((((((((((((((B25)+(C25))+(D25))+(E25))+(F25))+(G25))+(H25))+(I25))+(J25))+(K25))+(L25))+(M25))+(N25))+(O25))+(P25))+(Q25))+(R25))+(S25))+(T25))+(U25))+(V25))+(W25))+(X25)</f>
        <v>8.06</v>
      </c>
    </row>
    <row r="26" spans="1:25" ht="12.75" customHeight="1">
      <c r="A26" s="3" t="s">
        <v>49</v>
      </c>
      <c r="B26" s="4"/>
      <c r="C26" s="4"/>
      <c r="D26" s="4"/>
      <c r="E26" s="4"/>
      <c r="F26" s="4"/>
      <c r="G26" s="4"/>
      <c r="H26" s="4"/>
      <c r="I26" s="5">
        <f>1000</f>
        <v>1000</v>
      </c>
      <c r="J26" s="4"/>
      <c r="K26" s="4"/>
      <c r="L26" s="5">
        <f>968.62</f>
        <v>968.62</v>
      </c>
      <c r="M26" s="4"/>
      <c r="N26" s="4"/>
      <c r="O26" s="4"/>
      <c r="P26" s="4"/>
      <c r="Q26" s="5">
        <f>271.49</f>
        <v>271.49</v>
      </c>
      <c r="R26" s="5">
        <f>600</f>
        <v>600</v>
      </c>
      <c r="S26" s="4"/>
      <c r="T26" s="5">
        <f>150</f>
        <v>150</v>
      </c>
      <c r="U26" s="4"/>
      <c r="V26" s="5">
        <f>149.16</f>
        <v>149.16</v>
      </c>
      <c r="W26" s="4"/>
      <c r="X26" s="4"/>
      <c r="Y26" s="5">
        <f>((((((((((((((((((((((B26)+(C26))+(D26))+(E26))+(F26))+(G26))+(H26))+(I26))+(J26))+(K26))+(L26))+(M26))+(N26))+(O26))+(P26))+(Q26))+(R26))+(S26))+(T26))+(U26))+(V26))+(W26))+(X26)</f>
        <v>3139.2699999999995</v>
      </c>
    </row>
    <row r="27" spans="1:25" ht="12.75" customHeight="1">
      <c r="A27" s="3" t="s">
        <v>50</v>
      </c>
      <c r="B27" s="4"/>
      <c r="C27" s="4"/>
      <c r="D27" s="4"/>
      <c r="E27" s="4"/>
      <c r="F27" s="4"/>
      <c r="G27" s="5">
        <f>2100</f>
        <v>2100</v>
      </c>
      <c r="H27" s="5">
        <f>4025</f>
        <v>4025</v>
      </c>
      <c r="I27" s="4"/>
      <c r="J27" s="5">
        <f>0</f>
        <v>0</v>
      </c>
      <c r="K27" s="5">
        <f>6476</f>
        <v>6476</v>
      </c>
      <c r="L27" s="5">
        <f>3648</f>
        <v>3648</v>
      </c>
      <c r="M27" s="4"/>
      <c r="N27" s="5">
        <f>1273.66</f>
        <v>1273.66</v>
      </c>
      <c r="O27" s="5">
        <f>653.43</f>
        <v>653.43</v>
      </c>
      <c r="P27" s="5">
        <f>1224</f>
        <v>1224</v>
      </c>
      <c r="Q27" s="5">
        <f>352.99</f>
        <v>352.99</v>
      </c>
      <c r="R27" s="5">
        <f>3627.56</f>
        <v>3627.56</v>
      </c>
      <c r="S27" s="4"/>
      <c r="T27" s="4"/>
      <c r="U27" s="5">
        <f>1169.83</f>
        <v>1169.83</v>
      </c>
      <c r="V27" s="4"/>
      <c r="W27" s="4"/>
      <c r="X27" s="4"/>
      <c r="Y27" s="5">
        <f>((((((((((((((((((((((B27)+(C27))+(D27))+(E27))+(F27))+(G27))+(H27))+(I27))+(J27))+(K27))+(L27))+(M27))+(N27))+(O27))+(P27))+(Q27))+(R27))+(S27))+(T27))+(U27))+(V27))+(W27))+(X27)</f>
        <v>24550.47</v>
      </c>
    </row>
    <row r="28" spans="1:25" ht="12.75" customHeight="1">
      <c r="A28" s="3" t="s">
        <v>51</v>
      </c>
      <c r="B28" s="4"/>
      <c r="C28" s="4"/>
      <c r="D28" s="4"/>
      <c r="E28" s="5">
        <f>3600</f>
        <v>3600</v>
      </c>
      <c r="F28" s="5">
        <f>4369.88</f>
        <v>4369.88</v>
      </c>
      <c r="G28" s="4"/>
      <c r="H28" s="5">
        <f>1032.9</f>
        <v>1032.9</v>
      </c>
      <c r="I28" s="5">
        <f>522.39</f>
        <v>522.39</v>
      </c>
      <c r="J28" s="5">
        <f>464.99</f>
        <v>464.99</v>
      </c>
      <c r="K28" s="5">
        <f>10000.46</f>
        <v>10000.46</v>
      </c>
      <c r="L28" s="5">
        <f>6110.42</f>
        <v>6110.42</v>
      </c>
      <c r="M28" s="5">
        <f>706.16</f>
        <v>706.16</v>
      </c>
      <c r="N28" s="5">
        <f>1232.24</f>
        <v>1232.24</v>
      </c>
      <c r="O28" s="5">
        <f>3651.8</f>
        <v>3651.8</v>
      </c>
      <c r="P28" s="5">
        <f>407.29</f>
        <v>407.29</v>
      </c>
      <c r="Q28" s="5">
        <f>6488.39</f>
        <v>6488.39</v>
      </c>
      <c r="R28" s="5">
        <f>4024.3</f>
        <v>4024.3</v>
      </c>
      <c r="S28" s="5">
        <f>1341.02</f>
        <v>1341.02</v>
      </c>
      <c r="T28" s="5">
        <f>1350.62</f>
        <v>1350.62</v>
      </c>
      <c r="U28" s="5">
        <f>783</f>
        <v>783</v>
      </c>
      <c r="V28" s="5">
        <f>2818.72</f>
        <v>2818.72</v>
      </c>
      <c r="W28" s="5">
        <f>2988.39</f>
        <v>2988.39</v>
      </c>
      <c r="X28" s="5">
        <f>236.54</f>
        <v>236.54</v>
      </c>
      <c r="Y28" s="5">
        <f>((((((((((((((((((((((B28)+(C28))+(D28))+(E28))+(F28))+(G28))+(H28))+(I28))+(J28))+(K28))+(L28))+(M28))+(N28))+(O28))+(P28))+(Q28))+(R28))+(S28))+(T28))+(U28))+(V28))+(W28))+(X28)</f>
        <v>52129.51000000001</v>
      </c>
    </row>
    <row r="29" spans="1:25" ht="12.75" customHeight="1">
      <c r="A29" s="3" t="s">
        <v>52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>
        <f>188.83</f>
        <v>188.83</v>
      </c>
      <c r="P29" s="4"/>
      <c r="Q29" s="5">
        <f>80</f>
        <v>80</v>
      </c>
      <c r="R29" s="5">
        <f>953.71</f>
        <v>953.71</v>
      </c>
      <c r="S29" s="5">
        <f>203.18</f>
        <v>203.18</v>
      </c>
      <c r="T29" s="5">
        <f>27.9</f>
        <v>27.9</v>
      </c>
      <c r="U29" s="5">
        <f>374.81</f>
        <v>374.81</v>
      </c>
      <c r="V29" s="4"/>
      <c r="W29" s="5">
        <f>185.78</f>
        <v>185.78</v>
      </c>
      <c r="X29" s="4"/>
      <c r="Y29" s="5">
        <f>((((((((((((((((((((((B29)+(C29))+(D29))+(E29))+(F29))+(G29))+(H29))+(I29))+(J29))+(K29))+(L29))+(M29))+(N29))+(O29))+(P29))+(Q29))+(R29))+(S29))+(T29))+(U29))+(V29))+(W29))+(X29)</f>
        <v>2014.21</v>
      </c>
    </row>
    <row r="30" spans="1:25" ht="12.75" customHeight="1">
      <c r="A30" s="3" t="s">
        <v>53</v>
      </c>
      <c r="B30" s="4"/>
      <c r="C30" s="4"/>
      <c r="D30" s="4"/>
      <c r="E30" s="5">
        <f>2363.8</f>
        <v>2363.8</v>
      </c>
      <c r="F30" s="5">
        <f>2617.68</f>
        <v>2617.68</v>
      </c>
      <c r="G30" s="5">
        <f>4672</f>
        <v>4672</v>
      </c>
      <c r="H30" s="5">
        <f>3555</f>
        <v>3555</v>
      </c>
      <c r="I30" s="5">
        <f>4672</f>
        <v>4672</v>
      </c>
      <c r="J30" s="5">
        <f>3504.02</f>
        <v>3504.02</v>
      </c>
      <c r="K30" s="5">
        <f>4748.7</f>
        <v>4748.7</v>
      </c>
      <c r="L30" s="5">
        <f>2455.8</f>
        <v>2455.8</v>
      </c>
      <c r="M30" s="5">
        <f>4787.6</f>
        <v>4787.6</v>
      </c>
      <c r="N30" s="5">
        <f>2385.8</f>
        <v>2385.8</v>
      </c>
      <c r="O30" s="5">
        <f>4671.6</f>
        <v>4671.6</v>
      </c>
      <c r="P30" s="5">
        <f>3503.7</f>
        <v>3503.7</v>
      </c>
      <c r="Q30" s="5">
        <f>2590.8</f>
        <v>2590.8</v>
      </c>
      <c r="R30" s="5">
        <f>19068.39</f>
        <v>19068.39</v>
      </c>
      <c r="S30" s="5">
        <f>4671.6</f>
        <v>4671.6</v>
      </c>
      <c r="T30" s="5">
        <f>3503.7</f>
        <v>3503.7</v>
      </c>
      <c r="U30" s="5">
        <f>2172.98</f>
        <v>2172.98</v>
      </c>
      <c r="V30" s="5">
        <f>602.25</f>
        <v>602.25</v>
      </c>
      <c r="W30" s="5">
        <f>3369.19</f>
        <v>3369.19</v>
      </c>
      <c r="X30" s="5">
        <f>1247.67</f>
        <v>1247.67</v>
      </c>
      <c r="Y30" s="5">
        <f>((((((((((((((((((((((B30)+(C30))+(D30))+(E30))+(F30))+(G30))+(H30))+(I30))+(J30))+(K30))+(L30))+(M30))+(N30))+(O30))+(P30))+(Q30))+(R30))+(S30))+(T30))+(U30))+(V30))+(W30))+(X30)</f>
        <v>81164.28</v>
      </c>
    </row>
    <row r="31" spans="1:25" ht="12.75" customHeight="1">
      <c r="A31" s="3" t="s">
        <v>54</v>
      </c>
      <c r="B31" s="4"/>
      <c r="C31" s="4"/>
      <c r="D31" s="4"/>
      <c r="E31" s="5">
        <f>1042.06</f>
        <v>1042.06</v>
      </c>
      <c r="F31" s="5">
        <f>3391.43</f>
        <v>3391.43</v>
      </c>
      <c r="G31" s="5">
        <f>3826.65</f>
        <v>3826.65</v>
      </c>
      <c r="H31" s="5">
        <f>2695.77</f>
        <v>2695.77</v>
      </c>
      <c r="I31" s="5">
        <f>5761.84</f>
        <v>5761.84</v>
      </c>
      <c r="J31" s="5">
        <f>2430.89</f>
        <v>2430.89</v>
      </c>
      <c r="K31" s="5">
        <f>5094.17</f>
        <v>5094.17</v>
      </c>
      <c r="L31" s="5">
        <f>2334.1</f>
        <v>2334.1</v>
      </c>
      <c r="M31" s="5">
        <f>369.92</f>
        <v>369.92</v>
      </c>
      <c r="N31" s="4"/>
      <c r="O31" s="5">
        <f>3763.27</f>
        <v>3763.27</v>
      </c>
      <c r="P31" s="5">
        <f>8391.31</f>
        <v>8391.31</v>
      </c>
      <c r="Q31" s="5">
        <f>4603.59</f>
        <v>4603.59</v>
      </c>
      <c r="R31" s="5">
        <f>2675.83</f>
        <v>2675.83</v>
      </c>
      <c r="S31" s="5">
        <f>4769.37</f>
        <v>4769.37</v>
      </c>
      <c r="T31" s="5">
        <f>4858.54</f>
        <v>4858.54</v>
      </c>
      <c r="U31" s="5" t="s">
        <v>55</v>
      </c>
      <c r="V31" s="5" t="s">
        <v>56</v>
      </c>
      <c r="W31" s="5">
        <f>5548.28</f>
        <v>5548.28</v>
      </c>
      <c r="X31" s="5">
        <f>1440.69</f>
        <v>1440.69</v>
      </c>
      <c r="Y31" s="5">
        <f>((((((((((((((((((((((B31)+(C31))+(D31))+(E31))+(F31))+(G31))+(H31))+(I31))+(J31))+(K31))+(L31))+(M31))+(N31))+(O31))+(P31))+(Q31))+(R31))+(S31))+(T31))+(U31))+(V31))+(W31))+(X31)</f>
        <v>61854.270000000004</v>
      </c>
    </row>
    <row r="32" spans="1:25" ht="12.75" customHeight="1">
      <c r="A32" s="3" t="s">
        <v>57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>
        <f>1050</f>
        <v>1050</v>
      </c>
      <c r="P32" s="4"/>
      <c r="Q32" s="4"/>
      <c r="R32" s="4"/>
      <c r="S32" s="4"/>
      <c r="T32" s="4"/>
      <c r="U32" s="4"/>
      <c r="V32" s="4"/>
      <c r="W32" s="4"/>
      <c r="X32" s="4"/>
      <c r="Y32" s="5">
        <f>((((((((((((((((((((((B32)+(C32))+(D32))+(E32))+(F32))+(G32))+(H32))+(I32))+(J32))+(K32))+(L32))+(M32))+(N32))+(O32))+(P32))+(Q32))+(R32))+(S32))+(T32))+(U32))+(V32))+(W32))+(X32)</f>
        <v>1050</v>
      </c>
    </row>
    <row r="33" spans="1:25" ht="12.75" customHeight="1">
      <c r="A33" s="3" t="s">
        <v>58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 t="s">
        <v>59</v>
      </c>
      <c r="S33" s="4"/>
      <c r="T33" s="4"/>
      <c r="U33" s="4"/>
      <c r="V33" s="4"/>
      <c r="W33" s="4"/>
      <c r="X33" s="4"/>
      <c r="Y33" s="5">
        <f>((((((((((((((((((((((B33)+(C33))+(D33))+(E33))+(F33))+(G33))+(H33))+(I33))+(J33))+(K33))+(L33))+(M33))+(N33))+(O33))+(P33))+(Q33))+(R33))+(S33))+(T33))+(U33))+(V33))+(W33))+(X33)</f>
        <v>-198</v>
      </c>
    </row>
    <row r="34" spans="1:25" ht="25.5" customHeight="1">
      <c r="A34" s="3" t="s">
        <v>60</v>
      </c>
      <c r="B34" s="6">
        <f>(((((((((((((((((((B14)+(B15))+(B16))+(B17))+(B18))+(B19))+(B20))+(B21))+(B22))+(B23))+(B24))+(B25))+(B26))+(B27))+(B28))+(B29))+(B30))+(B31))+(B32))+(B33)</f>
        <v>36.2</v>
      </c>
      <c r="C34" s="6">
        <f>(((((((((((((((((((C14)+(C15))+(C16))+(C17))+(C18))+(C19))+(C20))+(C21))+(C22))+(C23))+(C24))+(C25))+(C26))+(C27))+(C28))+(C29))+(C30))+(C31))+(C32))+(C33)</f>
        <v>11</v>
      </c>
      <c r="D34" s="6">
        <f>(((((((((((((((((((D14)+(D15))+(D16))+(D17))+(D18))+(D19))+(D20))+(D21))+(D22))+(D23))+(D24))+(D25))+(D26))+(D27))+(D28))+(D29))+(D30))+(D31))+(D32))+(D33)</f>
        <v>16.34</v>
      </c>
      <c r="E34" s="6">
        <f>(((((((((((((((((((E14)+(E15))+(E16))+(E17))+(E18))+(E19))+(E20))+(E21))+(E22))+(E23))+(E24))+(E25))+(E26))+(E27))+(E28))+(E29))+(E30))+(E31))+(E32))+(E33)</f>
        <v>22232.82</v>
      </c>
      <c r="F34" s="6">
        <f>(((((((((((((((((((F14)+(F15))+(F16))+(F17))+(F18))+(F19))+(F20))+(F21))+(F22))+(F23))+(F24))+(F25))+(F26))+(F27))+(F28))+(F29))+(F30))+(F31))+(F32))+(F33)</f>
        <v>34847.880000000005</v>
      </c>
      <c r="G34" s="6">
        <f>(((((((((((((((((((G14)+(G15))+(G16))+(G17))+(G18))+(G19))+(G20))+(G21))+(G22))+(G23))+(G24))+(G25))+(G26))+(G27))+(G28))+(G29))+(G30))+(G31))+(G32))+(G33)</f>
        <v>37218.78</v>
      </c>
      <c r="H34" s="6">
        <f>(((((((((((((((((((H14)+(H15))+(H16))+(H17))+(H18))+(H19))+(H20))+(H21))+(H22))+(H23))+(H24))+(H25))+(H26))+(H27))+(H28))+(H29))+(H30))+(H31))+(H32))+(H33)</f>
        <v>37999.54</v>
      </c>
      <c r="I34" s="6">
        <f>(((((((((((((((((((I14)+(I15))+(I16))+(I17))+(I18))+(I19))+(I20))+(I21))+(I22))+(I23))+(I24))+(I25))+(I26))+(I27))+(I28))+(I29))+(I30))+(I31))+(I32))+(I33)</f>
        <v>372001.63999999996</v>
      </c>
      <c r="J34" s="6">
        <f>(((((((((((((((((((J14)+(J15))+(J16))+(J17))+(J18))+(J19))+(J20))+(J21))+(J22))+(J23))+(J24))+(J25))+(J26))+(J27))+(J28))+(J29))+(J30))+(J31))+(J32))+(J33)</f>
        <v>37587.1</v>
      </c>
      <c r="K34" s="6">
        <f>(((((((((((((((((((K14)+(K15))+(K16))+(K17))+(K18))+(K19))+(K20))+(K21))+(K22))+(K23))+(K24))+(K25))+(K26))+(K27))+(K28))+(K29))+(K30))+(K31))+(K32))+(K33)</f>
        <v>57349.1</v>
      </c>
      <c r="L34" s="6">
        <f>(((((((((((((((((((L14)+(L15))+(L16))+(L17))+(L18))+(L19))+(L20))+(L21))+(L22))+(L23))+(L24))+(L25))+(L26))+(L27))+(L28))+(L29))+(L30))+(L31))+(L32))+(L33)</f>
        <v>44449.340000000004</v>
      </c>
      <c r="M34" s="6">
        <f>(((((((((((((((((((M14)+(M15))+(M16))+(M17))+(M18))+(M19))+(M20))+(M21))+(M22))+(M23))+(M24))+(M25))+(M26))+(M27))+(M28))+(M29))+(M30))+(M31))+(M32))+(M33)</f>
        <v>349275.94999999995</v>
      </c>
      <c r="N34" s="6">
        <f>(((((((((((((((((((N14)+(N15))+(N16))+(N17))+(N18))+(N19))+(N20))+(N21))+(N22))+(N23))+(N24))+(N25))+(N26))+(N27))+(N28))+(N29))+(N30))+(N31))+(N32))+(N33)</f>
        <v>30147.07</v>
      </c>
      <c r="O34" s="6">
        <f>(((((((((((((((((((O14)+(O15))+(O16))+(O17))+(O18))+(O19))+(O20))+(O21))+(O22))+(O23))+(O24))+(O25))+(O26))+(O27))+(O28))+(O29))+(O30))+(O31))+(O32))+(O33)</f>
        <v>34446.47</v>
      </c>
      <c r="P34" s="6">
        <f>(((((((((((((((((((P14)+(P15))+(P16))+(P17))+(P18))+(P19))+(P20))+(P21))+(P22))+(P23))+(P24))+(P25))+(P26))+(P27))+(P28))+(P29))+(P30))+(P31))+(P32))+(P33)</f>
        <v>43993.89</v>
      </c>
      <c r="Q34" s="6">
        <f>(((((((((((((((((((Q14)+(Q15))+(Q16))+(Q17))+(Q18))+(Q19))+(Q20))+(Q21))+(Q22))+(Q23))+(Q24))+(Q25))+(Q26))+(Q27))+(Q28))+(Q29))+(Q30))+(Q31))+(Q32))+(Q33)</f>
        <v>42579.51000000001</v>
      </c>
      <c r="R34" s="6">
        <f>(((((((((((((((((((R14)+(R15))+(R16))+(R17))+(R18))+(R19))+(R20))+(R21))+(R22))+(R23))+(R24))+(R25))+(R26))+(R27))+(R28))+(R29))+(R30))+(R31))+(R32))+(R33)</f>
        <v>59227.12</v>
      </c>
      <c r="S34" s="6">
        <f>(((((((((((((((((((S14)+(S15))+(S16))+(S17))+(S18))+(S19))+(S20))+(S21))+(S22))+(S23))+(S24))+(S25))+(S26))+(S27))+(S28))+(S29))+(S30))+(S31))+(S32))+(S33)</f>
        <v>45564.799999999996</v>
      </c>
      <c r="T34" s="6">
        <f>(((((((((((((((((((T14)+(T15))+(T16))+(T17))+(T18))+(T19))+(T20))+(T21))+(T22))+(T23))+(T24))+(T25))+(T26))+(T27))+(T28))+(T29))+(T30))+(T31))+(T32))+(T33)</f>
        <v>41696.53</v>
      </c>
      <c r="U34" s="6">
        <f>(((((((((((((((((((U14)+(U15))+(U16))+(U17))+(U18))+(U19))+(U20))+(U21))+(U22))+(U23))+(U24))+(U25))+(U26))+(U27))+(U28))+(U29))+(U30))+(U31))+(U32))+(U33)</f>
        <v>41377.36</v>
      </c>
      <c r="V34" s="6">
        <f>(((((((((((((((((((V14)+(V15))+(V16))+(V17))+(V18))+(V19))+(V20))+(V21))+(V22))+(V23))+(V24))+(V25))+(V26))+(V27))+(V28))+(V29))+(V30))+(V31))+(V32))+(V33)</f>
        <v>32388.050000000003</v>
      </c>
      <c r="W34" s="6">
        <f>(((((((((((((((((((W14)+(W15))+(W16))+(W17))+(W18))+(W19))+(W20))+(W21))+(W22))+(W23))+(W24))+(W25))+(W26))+(W27))+(W28))+(W29))+(W30))+(W31))+(W32))+(W33)</f>
        <v>47422.84</v>
      </c>
      <c r="X34" s="6">
        <f>(((((((((((((((((((X14)+(X15))+(X16))+(X17))+(X18))+(X19))+(X20))+(X21))+(X22))+(X23))+(X24))+(X25))+(X26))+(X27))+(X28))+(X29))+(X30))+(X31))+(X32))+(X33)</f>
        <v>22053.399999999998</v>
      </c>
      <c r="Y34" s="6">
        <f>((((((((((((((((((((((B34)+(C34))+(D34))+(E34))+(F34))+(G34))+(H34))+(I34))+(J34))+(K34))+(L34))+(M34))+(N34))+(O34))+(P34))+(Q34))+(R34))+(S34))+(T34))+(U34))+(V34))+(W34))+(X34)</f>
        <v>1433922.73</v>
      </c>
    </row>
    <row r="35" spans="1:25" ht="12.75" customHeight="1">
      <c r="A35" s="3" t="s">
        <v>61</v>
      </c>
      <c r="B35" s="6">
        <f>(B12)-(B34)</f>
        <v>63.8</v>
      </c>
      <c r="C35" s="6">
        <f>(C12)-(C34)</f>
        <v>-11</v>
      </c>
      <c r="D35" s="6">
        <f>(D12)-(D34)</f>
        <v>1319.91</v>
      </c>
      <c r="E35" s="6">
        <f>(E12)-(E34)</f>
        <v>33767.18</v>
      </c>
      <c r="F35" s="6">
        <f>(F12)-(F34)</f>
        <v>-16847.880000000005</v>
      </c>
      <c r="G35" s="6">
        <f>(G12)-(G34)</f>
        <v>40540.81</v>
      </c>
      <c r="H35" s="6">
        <f>(H12)-(H34)</f>
        <v>-27909.54</v>
      </c>
      <c r="I35" s="6">
        <f>(I12)-(I34)</f>
        <v>120979.79000000004</v>
      </c>
      <c r="J35" s="6">
        <f>(J12)-(J34)</f>
        <v>6462.9000000000015</v>
      </c>
      <c r="K35" s="6">
        <f>(K12)-(K34)</f>
        <v>-20360.85</v>
      </c>
      <c r="L35" s="6">
        <f>(L12)-(L34)</f>
        <v>5525.659999999996</v>
      </c>
      <c r="M35" s="6">
        <f>(M12)-(M34)</f>
        <v>25643.050000000047</v>
      </c>
      <c r="N35" s="6">
        <f>(N12)-(N34)</f>
        <v>7862.93</v>
      </c>
      <c r="O35" s="6">
        <f>(O12)-(O34)</f>
        <v>30929.53</v>
      </c>
      <c r="P35" s="6">
        <f>(P12)-(P34)</f>
        <v>-37973.89</v>
      </c>
      <c r="Q35" s="6">
        <f>(Q12)-(Q34)</f>
        <v>29248.389999999985</v>
      </c>
      <c r="R35" s="6">
        <f>(R12)-(R34)</f>
        <v>-16153.140000000007</v>
      </c>
      <c r="S35" s="6">
        <f>(S12)-(S34)</f>
        <v>-2520.939999999995</v>
      </c>
      <c r="T35" s="6">
        <f>(T12)-(T34)</f>
        <v>-41696.53</v>
      </c>
      <c r="U35" s="6">
        <f>(U12)-(U34)</f>
        <v>-26497.49</v>
      </c>
      <c r="V35" s="6">
        <f>(V12)-(V34)</f>
        <v>9528.29</v>
      </c>
      <c r="W35" s="6">
        <f>(W12)-(W34)</f>
        <v>-32477.839999999997</v>
      </c>
      <c r="X35" s="6">
        <f>(X12)-(X34)</f>
        <v>-15052.739999999998</v>
      </c>
      <c r="Y35" s="6">
        <f>((((((((((((((((((((((B35)+(C35))+(D35))+(E35))+(F35))+(G35))+(H35))+(I35))+(J35))+(K35))+(L35))+(M35))+(N35))+(O35))+(P35))+(Q35))+(R35))+(S35))+(T35))+(U35))+(V35))+(W35))+(X35)</f>
        <v>74370.40000000005</v>
      </c>
    </row>
    <row r="36" spans="1:25" ht="12.75" customHeight="1">
      <c r="A36" s="3" t="s">
        <v>62</v>
      </c>
      <c r="B36" s="7">
        <f>(B35)+(0)</f>
        <v>63.8</v>
      </c>
      <c r="C36" s="7">
        <f>(C35)+(0)</f>
        <v>-11</v>
      </c>
      <c r="D36" s="7">
        <f>(D35)+(0)</f>
        <v>1319.91</v>
      </c>
      <c r="E36" s="7">
        <f>(E35)+(0)</f>
        <v>33767.18</v>
      </c>
      <c r="F36" s="7">
        <f>(F35)+(0)</f>
        <v>-16847.880000000005</v>
      </c>
      <c r="G36" s="7">
        <f>(G35)+(0)</f>
        <v>40540.81</v>
      </c>
      <c r="H36" s="7">
        <f>(H35)+(0)</f>
        <v>-27909.54</v>
      </c>
      <c r="I36" s="7">
        <f>(I35)+(0)</f>
        <v>120979.79000000004</v>
      </c>
      <c r="J36" s="7">
        <f>(J35)+(0)</f>
        <v>6462.9000000000015</v>
      </c>
      <c r="K36" s="7">
        <f>(K35)+(0)</f>
        <v>-20360.85</v>
      </c>
      <c r="L36" s="7">
        <f>(L35)+(0)</f>
        <v>5525.659999999996</v>
      </c>
      <c r="M36" s="7">
        <f>(M35)+(0)</f>
        <v>25643.050000000047</v>
      </c>
      <c r="N36" s="7">
        <f>(N35)+(0)</f>
        <v>7862.93</v>
      </c>
      <c r="O36" s="7">
        <f>(O35)+(0)</f>
        <v>30929.53</v>
      </c>
      <c r="P36" s="7">
        <f>(P35)+(0)</f>
        <v>-37973.89</v>
      </c>
      <c r="Q36" s="7">
        <f>(Q35)+(0)</f>
        <v>29248.389999999985</v>
      </c>
      <c r="R36" s="7">
        <f>(R35)+(0)</f>
        <v>-16153.140000000007</v>
      </c>
      <c r="S36" s="7">
        <f>(S35)+(0)</f>
        <v>-2520.939999999995</v>
      </c>
      <c r="T36" s="7">
        <f>(T35)+(0)</f>
        <v>-41696.53</v>
      </c>
      <c r="U36" s="7">
        <f>(U35)+(0)</f>
        <v>-26497.49</v>
      </c>
      <c r="V36" s="7">
        <f>(V35)+(0)</f>
        <v>9528.29</v>
      </c>
      <c r="W36" s="7">
        <f>(W35)+(0)</f>
        <v>-32477.839999999997</v>
      </c>
      <c r="X36" s="7">
        <f>(X35)+(0)</f>
        <v>-15052.739999999998</v>
      </c>
      <c r="Y36" s="7">
        <f>((((((((((((((((((((((B36)+(C36))+(D36))+(E36))+(F36))+(G36))+(H36))+(I36))+(J36))+(K36))+(L36))+(M36))+(N36))+(O36))+(P36))+(Q36))+(R36))+(S36))+(T36))+(U36))+(V36))+(W36))+(X36)</f>
        <v>74370.40000000005</v>
      </c>
    </row>
    <row r="37" spans="1:25" ht="12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2.75" customHeight="1"/>
    <row r="39" ht="12.75" customHeight="1"/>
    <row r="40" ht="12.75" customHeight="1">
      <c r="A40" s="8" t="s">
        <v>63</v>
      </c>
    </row>
  </sheetData>
  <mergeCells count="4">
    <mergeCell ref="A40:Y40"/>
    <mergeCell ref="A1:Y1"/>
    <mergeCell ref="A2:Y2"/>
    <mergeCell ref="A3:Y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